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150" yWindow="0" windowWidth="19410" windowHeight="11010"/>
  </bookViews>
  <sheets>
    <sheet name="Sheet1" sheetId="10" r:id="rId1"/>
    <sheet name="XYZ Company" sheetId="9" r:id="rId2"/>
  </sheets>
  <definedNames>
    <definedName name="_xlnm.Print_Area" localSheetId="1">'XYZ Company'!$A$1:$Q$68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4" i="9" l="1"/>
  <c r="J52" i="9"/>
  <c r="J33" i="9"/>
  <c r="I14" i="9"/>
  <c r="I52" i="9"/>
  <c r="H14" i="9"/>
  <c r="H33" i="9"/>
  <c r="G14" i="9"/>
  <c r="G33" i="9"/>
  <c r="G38" i="9"/>
  <c r="G57" i="9"/>
  <c r="H38" i="9"/>
  <c r="H57" i="9"/>
  <c r="I38" i="9"/>
  <c r="I57" i="9"/>
  <c r="J38" i="9"/>
  <c r="J57" i="9"/>
  <c r="F38" i="9"/>
  <c r="F57" i="9"/>
  <c r="F34" i="9"/>
  <c r="F53" i="9"/>
  <c r="F52" i="9"/>
  <c r="F54" i="9"/>
  <c r="F55" i="9"/>
  <c r="F58" i="9"/>
  <c r="G12" i="9"/>
  <c r="H12" i="9"/>
  <c r="I12" i="9"/>
  <c r="J12" i="9"/>
  <c r="F33" i="9"/>
  <c r="F35" i="9"/>
  <c r="F36" i="9"/>
  <c r="F39" i="9"/>
  <c r="F16" i="9"/>
  <c r="F17" i="9"/>
  <c r="F20" i="9"/>
  <c r="J16" i="9"/>
  <c r="J17" i="9"/>
  <c r="J20" i="9"/>
  <c r="H16" i="9"/>
  <c r="N18" i="9"/>
  <c r="C28" i="9"/>
  <c r="H23" i="9"/>
  <c r="H24" i="9"/>
  <c r="I23" i="9"/>
  <c r="I24" i="9"/>
  <c r="N24" i="9"/>
  <c r="N37" i="9"/>
  <c r="G16" i="9"/>
  <c r="G52" i="9"/>
  <c r="N62" i="9"/>
  <c r="C47" i="9"/>
  <c r="G54" i="9"/>
  <c r="G55" i="9"/>
  <c r="G58" i="9"/>
  <c r="N56" i="9"/>
  <c r="H17" i="9"/>
  <c r="H20" i="9"/>
  <c r="N65" i="9"/>
  <c r="P65" i="9"/>
  <c r="G35" i="9"/>
  <c r="G36" i="9"/>
  <c r="G39" i="9"/>
  <c r="N43" i="9"/>
  <c r="N46" i="9"/>
  <c r="P46" i="9"/>
  <c r="H42" i="9"/>
  <c r="H43" i="9"/>
  <c r="H35" i="9"/>
  <c r="I61" i="9"/>
  <c r="I62" i="9"/>
  <c r="I54" i="9"/>
  <c r="I28" i="9"/>
  <c r="I33" i="9"/>
  <c r="N48" i="9"/>
  <c r="H28" i="9"/>
  <c r="H26" i="9"/>
  <c r="N67" i="9"/>
  <c r="J61" i="9"/>
  <c r="J62" i="9"/>
  <c r="J54" i="9"/>
  <c r="J55" i="9"/>
  <c r="J58" i="9"/>
  <c r="J35" i="9"/>
  <c r="J36" i="9"/>
  <c r="J39" i="9"/>
  <c r="J23" i="9"/>
  <c r="J24" i="9"/>
  <c r="C66" i="9"/>
  <c r="N27" i="9"/>
  <c r="P27" i="9"/>
  <c r="I16" i="9"/>
  <c r="I17" i="9"/>
  <c r="I20" i="9"/>
  <c r="I26" i="9"/>
  <c r="G17" i="9"/>
  <c r="G20" i="9"/>
  <c r="H52" i="9"/>
  <c r="J42" i="9"/>
  <c r="J43" i="9"/>
  <c r="N29" i="9"/>
  <c r="I66" i="9"/>
  <c r="I42" i="9"/>
  <c r="I43" i="9"/>
  <c r="I35" i="9"/>
  <c r="I36" i="9"/>
  <c r="I39" i="9"/>
  <c r="H36" i="9"/>
  <c r="H39" i="9"/>
  <c r="H45" i="9"/>
  <c r="N22" i="9"/>
  <c r="J26" i="9"/>
  <c r="J64" i="9"/>
  <c r="N60" i="9"/>
  <c r="H47" i="9"/>
  <c r="N41" i="9"/>
  <c r="J45" i="9"/>
  <c r="H61" i="9"/>
  <c r="H62" i="9"/>
  <c r="H54" i="9"/>
  <c r="H55" i="9"/>
  <c r="H58" i="9"/>
  <c r="J28" i="9"/>
  <c r="J29" i="9"/>
  <c r="J47" i="9"/>
  <c r="J48" i="9"/>
  <c r="I55" i="9"/>
  <c r="I58" i="9"/>
  <c r="I64" i="9"/>
  <c r="H64" i="9"/>
  <c r="H66" i="9"/>
  <c r="I45" i="9"/>
  <c r="I47" i="9"/>
  <c r="J67" i="9"/>
  <c r="J66" i="9"/>
</calcChain>
</file>

<file path=xl/sharedStrings.xml><?xml version="1.0" encoding="utf-8"?>
<sst xmlns="http://schemas.openxmlformats.org/spreadsheetml/2006/main" count="76" uniqueCount="36">
  <si>
    <t>Operating Margin</t>
  </si>
  <si>
    <t>EPS</t>
  </si>
  <si>
    <t>Market Cap/Sales Ratio</t>
  </si>
  <si>
    <t>IRR</t>
  </si>
  <si>
    <t>Tax rate</t>
  </si>
  <si>
    <t>Cost</t>
  </si>
  <si>
    <t>Valuation Forecast</t>
  </si>
  <si>
    <t>Implied PE</t>
  </si>
  <si>
    <t>OPTIMISTIC (1.0 X Forecast)</t>
  </si>
  <si>
    <t xml:space="preserve">Gain Multiple </t>
  </si>
  <si>
    <t>(</t>
  </si>
  <si>
    <t>cost</t>
  </si>
  <si>
    <t xml:space="preserve"> )</t>
  </si>
  <si>
    <t>For IRR</t>
  </si>
  <si>
    <t>calculation</t>
  </si>
  <si>
    <t>Most likely revenue adjustments</t>
  </si>
  <si>
    <t>Pessimist. revenue adjustments</t>
  </si>
  <si>
    <t>For Growth</t>
  </si>
  <si>
    <t>Rate Calc.</t>
  </si>
  <si>
    <t>Revenue  ($M)</t>
  </si>
  <si>
    <t>Operating Income ($M)</t>
  </si>
  <si>
    <t>Profit after Tax ($M)</t>
  </si>
  <si>
    <t>Shares Outstanding (M)</t>
  </si>
  <si>
    <t>Market Cap  ($M)</t>
  </si>
  <si>
    <t>Price/Share ($)</t>
  </si>
  <si>
    <t>$M Post Valuation</t>
  </si>
  <si>
    <t xml:space="preserve">Last yr sales gain </t>
  </si>
  <si>
    <t>% Warrant Cover</t>
  </si>
  <si>
    <t>X Liquidation Pref</t>
  </si>
  <si>
    <t>M Sh. Outstanding</t>
  </si>
  <si>
    <t>$/Sh Current Price</t>
  </si>
  <si>
    <t>$M Current Fin'c'g</t>
  </si>
  <si>
    <t>$M Retain Earn '05</t>
  </si>
  <si>
    <t>PESSIMISTIC (.50 X Forecast)</t>
  </si>
  <si>
    <t>MOST LIKELY (.75 X Forecast)</t>
  </si>
  <si>
    <t>XYZ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</si>
</sst>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0.000"/>
    <numFmt numFmtId="166" formatCode="_(* #,##0.0_);_(* \(#,##0.0\);_(* &quot;-&quot;??_);_(@_)"/>
  </numFmts>
  <fonts count="11" x14ac:knownFonts="1">
    <font>
      <sz val="10"/>
      <name val="Arial"/>
    </font>
    <font>
      <sz val="10"/>
      <name val="Arial"/>
    </font>
    <font>
      <sz val="11"/>
      <name val="Arial"/>
      <family val="2"/>
    </font>
    <font>
      <sz val="14"/>
      <name val="Arial"/>
      <family val="2"/>
    </font>
    <font>
      <sz val="10"/>
      <name val="Arial"/>
    </font>
    <font>
      <sz val="8"/>
      <name val="Arial"/>
      <family val="2"/>
    </font>
    <font>
      <u/>
      <sz val="14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7"/>
      <color indexed="12"/>
      <name val="Arial"/>
      <family val="2"/>
    </font>
    <font>
      <u/>
      <sz val="10"/>
      <color theme="11"/>
      <name val="Arial"/>
    </font>
  </fonts>
  <fills count="3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1" xfId="0" applyFont="1" applyBorder="1"/>
    <xf numFmtId="0" fontId="2" fillId="0" borderId="2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4" fontId="0" fillId="0" borderId="7" xfId="0" applyNumberFormat="1" applyBorder="1"/>
    <xf numFmtId="0" fontId="0" fillId="0" borderId="8" xfId="0" applyBorder="1"/>
    <xf numFmtId="0" fontId="0" fillId="0" borderId="7" xfId="0" applyBorder="1"/>
    <xf numFmtId="0" fontId="0" fillId="2" borderId="0" xfId="0" applyFill="1"/>
    <xf numFmtId="2" fontId="0" fillId="2" borderId="1" xfId="0" applyNumberFormat="1" applyFill="1" applyBorder="1"/>
    <xf numFmtId="164" fontId="0" fillId="0" borderId="9" xfId="0" applyNumberFormat="1" applyBorder="1"/>
    <xf numFmtId="9" fontId="0" fillId="0" borderId="10" xfId="0" applyNumberFormat="1" applyBorder="1"/>
    <xf numFmtId="14" fontId="0" fillId="0" borderId="0" xfId="0" quotePrefix="1" applyNumberFormat="1" applyAlignment="1">
      <alignment horizontal="center"/>
    </xf>
    <xf numFmtId="0" fontId="0" fillId="0" borderId="0" xfId="0" applyFill="1"/>
    <xf numFmtId="0" fontId="0" fillId="0" borderId="11" xfId="0" applyBorder="1"/>
    <xf numFmtId="0" fontId="0" fillId="0" borderId="0" xfId="0" applyBorder="1"/>
    <xf numFmtId="2" fontId="0" fillId="2" borderId="0" xfId="0" applyNumberFormat="1" applyFill="1" applyBorder="1"/>
    <xf numFmtId="164" fontId="0" fillId="2" borderId="0" xfId="0" applyNumberFormat="1" applyFill="1" applyBorder="1"/>
    <xf numFmtId="1" fontId="0" fillId="2" borderId="0" xfId="0" applyNumberFormat="1" applyFill="1" applyBorder="1"/>
    <xf numFmtId="164" fontId="0" fillId="0" borderId="0" xfId="0" applyNumberFormat="1" applyBorder="1"/>
    <xf numFmtId="165" fontId="0" fillId="2" borderId="0" xfId="0" applyNumberFormat="1" applyFill="1" applyBorder="1"/>
    <xf numFmtId="0" fontId="0" fillId="2" borderId="0" xfId="0" applyFill="1" applyBorder="1"/>
    <xf numFmtId="0" fontId="0" fillId="0" borderId="5" xfId="0" applyBorder="1" applyAlignment="1">
      <alignment horizontal="right"/>
    </xf>
    <xf numFmtId="2" fontId="0" fillId="0" borderId="0" xfId="0" applyNumberFormat="1" applyBorder="1"/>
    <xf numFmtId="1" fontId="0" fillId="0" borderId="0" xfId="0" applyNumberFormat="1" applyBorder="1"/>
    <xf numFmtId="9" fontId="5" fillId="0" borderId="4" xfId="0" applyNumberFormat="1" applyFont="1" applyBorder="1"/>
    <xf numFmtId="1" fontId="0" fillId="0" borderId="5" xfId="0" applyNumberFormat="1" applyBorder="1"/>
    <xf numFmtId="9" fontId="0" fillId="0" borderId="3" xfId="0" applyNumberFormat="1" applyBorder="1"/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/>
    <xf numFmtId="0" fontId="4" fillId="0" borderId="0" xfId="0" applyFont="1" applyBorder="1"/>
    <xf numFmtId="0" fontId="0" fillId="0" borderId="0" xfId="0" applyBorder="1" applyAlignment="1">
      <alignment horizontal="left"/>
    </xf>
    <xf numFmtId="9" fontId="0" fillId="0" borderId="0" xfId="0" applyNumberFormat="1" applyBorder="1"/>
    <xf numFmtId="0" fontId="0" fillId="0" borderId="12" xfId="0" applyBorder="1"/>
    <xf numFmtId="0" fontId="0" fillId="0" borderId="0" xfId="0" applyFill="1" applyBorder="1"/>
    <xf numFmtId="1" fontId="0" fillId="0" borderId="10" xfId="0" applyNumberFormat="1" applyBorder="1"/>
    <xf numFmtId="164" fontId="0" fillId="0" borderId="10" xfId="0" applyNumberFormat="1" applyBorder="1"/>
    <xf numFmtId="165" fontId="0" fillId="0" borderId="9" xfId="0" applyNumberFormat="1" applyFill="1" applyBorder="1" applyAlignment="1">
      <alignment horizontal="right"/>
    </xf>
    <xf numFmtId="2" fontId="0" fillId="2" borderId="5" xfId="0" applyNumberFormat="1" applyFill="1" applyBorder="1"/>
    <xf numFmtId="9" fontId="0" fillId="2" borderId="0" xfId="2" applyFont="1" applyFill="1" applyBorder="1"/>
    <xf numFmtId="1" fontId="0" fillId="0" borderId="0" xfId="0" applyNumberFormat="1" applyFill="1" applyBorder="1"/>
    <xf numFmtId="9" fontId="1" fillId="0" borderId="0" xfId="2"/>
    <xf numFmtId="0" fontId="0" fillId="0" borderId="0" xfId="0" quotePrefix="1"/>
    <xf numFmtId="164" fontId="0" fillId="2" borderId="5" xfId="0" applyNumberFormat="1" applyFill="1" applyBorder="1"/>
    <xf numFmtId="2" fontId="0" fillId="0" borderId="9" xfId="0" quotePrefix="1" applyNumberFormat="1" applyFill="1" applyBorder="1" applyAlignment="1">
      <alignment horizontal="right"/>
    </xf>
    <xf numFmtId="2" fontId="1" fillId="0" borderId="0" xfId="1" applyNumberFormat="1" applyBorder="1"/>
    <xf numFmtId="165" fontId="0" fillId="0" borderId="0" xfId="0" applyNumberFormat="1" applyBorder="1"/>
    <xf numFmtId="165" fontId="0" fillId="0" borderId="0" xfId="0" applyNumberFormat="1"/>
    <xf numFmtId="9" fontId="1" fillId="2" borderId="0" xfId="2" applyFill="1" applyBorder="1"/>
    <xf numFmtId="166" fontId="0" fillId="2" borderId="5" xfId="1" applyNumberFormat="1" applyFont="1" applyFill="1" applyBorder="1"/>
    <xf numFmtId="9" fontId="1" fillId="2" borderId="0" xfId="2" applyFont="1" applyFill="1" applyBorder="1"/>
    <xf numFmtId="9" fontId="0" fillId="0" borderId="12" xfId="0" applyNumberFormat="1" applyBorder="1"/>
    <xf numFmtId="0" fontId="9" fillId="0" borderId="0" xfId="0" applyFont="1"/>
    <xf numFmtId="0" fontId="8" fillId="0" borderId="0" xfId="0" applyFont="1"/>
    <xf numFmtId="0" fontId="0" fillId="0" borderId="0" xfId="0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">
    <cellStyle name="Comma" xfId="1" builtinId="3"/>
    <cellStyle name="Followed Hyperlink" xfId="3" builtinId="9" hidden="1"/>
    <cellStyle name="Followed Hyperlink" xfId="4" builtinId="9" hidden="1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571500</xdr:colOff>
      <xdr:row>67</xdr:row>
      <xdr:rowOff>127000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810500" cy="10763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335414</xdr:colOff>
      <xdr:row>5</xdr:row>
      <xdr:rowOff>76200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886834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view="pageBreakPreview" zoomScale="60" zoomScaleNormal="100" workbookViewId="0">
      <selection activeCell="F73" sqref="F73"/>
    </sheetView>
  </sheetViews>
  <sheetFormatPr defaultRowHeight="12.75" x14ac:dyDescent="0.2"/>
  <sheetData/>
  <pageMargins left="0" right="0" top="0" bottom="0" header="0" footer="0"/>
  <pageSetup scale="87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S70"/>
  <sheetViews>
    <sheetView topLeftCell="A61" zoomScaleNormal="100" workbookViewId="0">
      <selection activeCell="S9" sqref="S9"/>
    </sheetView>
  </sheetViews>
  <sheetFormatPr defaultColWidth="8.7109375" defaultRowHeight="12.75" x14ac:dyDescent="0.2"/>
  <cols>
    <col min="1" max="1" width="17.42578125" customWidth="1"/>
    <col min="2" max="2" width="0.7109375" customWidth="1"/>
    <col min="3" max="3" width="4.7109375" customWidth="1"/>
    <col min="4" max="4" width="4.140625" customWidth="1"/>
    <col min="5" max="5" width="3.42578125" customWidth="1"/>
    <col min="6" max="7" width="9.28515625" bestFit="1" customWidth="1"/>
    <col min="8" max="8" width="10.140625" bestFit="1" customWidth="1"/>
    <col min="9" max="10" width="9.28515625" bestFit="1" customWidth="1"/>
    <col min="11" max="11" width="2.7109375" customWidth="1"/>
    <col min="12" max="12" width="3" customWidth="1"/>
    <col min="13" max="13" width="5.7109375" customWidth="1"/>
    <col min="14" max="14" width="9.42578125" customWidth="1"/>
    <col min="15" max="17" width="5.7109375" customWidth="1"/>
  </cols>
  <sheetData>
    <row r="6" spans="1:19" ht="12.6" customHeight="1" x14ac:dyDescent="0.2">
      <c r="O6" s="58"/>
    </row>
    <row r="7" spans="1:19" ht="18" x14ac:dyDescent="0.25">
      <c r="A7" s="60" t="s">
        <v>35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9" ht="18" x14ac:dyDescent="0.25">
      <c r="A8" s="61" t="s">
        <v>6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</row>
    <row r="9" spans="1:19" x14ac:dyDescent="0.2">
      <c r="H9" s="16"/>
      <c r="M9" s="17"/>
      <c r="N9" s="47">
        <v>3</v>
      </c>
      <c r="O9" s="38" t="s">
        <v>31</v>
      </c>
      <c r="P9" s="38"/>
      <c r="Q9" s="8"/>
    </row>
    <row r="10" spans="1:19" x14ac:dyDescent="0.2">
      <c r="M10" s="17"/>
      <c r="N10" s="42">
        <v>1</v>
      </c>
      <c r="O10" s="38" t="s">
        <v>30</v>
      </c>
      <c r="P10" s="38"/>
      <c r="Q10" s="8"/>
      <c r="S10" s="45"/>
    </row>
    <row r="11" spans="1:19" x14ac:dyDescent="0.2">
      <c r="F11" s="59"/>
      <c r="G11" s="59"/>
      <c r="H11" s="59"/>
      <c r="I11" s="59"/>
      <c r="J11" s="59"/>
      <c r="N11" s="53">
        <v>6.1</v>
      </c>
      <c r="O11" s="38" t="s">
        <v>29</v>
      </c>
      <c r="P11" s="19"/>
      <c r="Q11" s="8"/>
    </row>
    <row r="12" spans="1:19" ht="14.25" x14ac:dyDescent="0.2">
      <c r="A12" s="4" t="s">
        <v>8</v>
      </c>
      <c r="B12" s="5"/>
      <c r="C12" s="5"/>
      <c r="D12" s="2"/>
      <c r="E12" s="3"/>
      <c r="F12" s="18">
        <v>2005</v>
      </c>
      <c r="G12" s="18">
        <f>F12+1</f>
        <v>2006</v>
      </c>
      <c r="H12" s="18">
        <f>G12+1</f>
        <v>2007</v>
      </c>
      <c r="I12" s="18">
        <f>H12+1</f>
        <v>2008</v>
      </c>
      <c r="J12" s="18">
        <f>I12+1</f>
        <v>2009</v>
      </c>
      <c r="K12" s="18"/>
      <c r="L12" s="18"/>
      <c r="M12" s="18"/>
      <c r="N12" s="25">
        <v>1</v>
      </c>
      <c r="O12" s="19" t="s">
        <v>28</v>
      </c>
      <c r="P12" s="19"/>
      <c r="Q12" s="8"/>
    </row>
    <row r="13" spans="1:19" x14ac:dyDescent="0.2">
      <c r="A13" s="7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1">
        <v>9.1</v>
      </c>
      <c r="O13" s="19" t="s">
        <v>25</v>
      </c>
      <c r="P13" s="19"/>
      <c r="Q13" s="8"/>
    </row>
    <row r="14" spans="1:19" x14ac:dyDescent="0.2">
      <c r="A14" s="7" t="s">
        <v>19</v>
      </c>
      <c r="B14" s="19"/>
      <c r="C14" s="19"/>
      <c r="D14" s="19"/>
      <c r="E14" s="19"/>
      <c r="F14" s="20">
        <v>0.4</v>
      </c>
      <c r="G14" s="21">
        <f>30.2/2</f>
        <v>15.1</v>
      </c>
      <c r="H14" s="21">
        <f>88.2/2</f>
        <v>44.1</v>
      </c>
      <c r="I14" s="21">
        <f>160/2</f>
        <v>80</v>
      </c>
      <c r="J14" s="22">
        <f>220/2</f>
        <v>110</v>
      </c>
      <c r="K14" s="19"/>
      <c r="L14" s="19"/>
      <c r="M14" s="19"/>
      <c r="N14" s="12">
        <v>-1.5</v>
      </c>
      <c r="O14" s="19" t="s">
        <v>32</v>
      </c>
      <c r="P14" s="19"/>
      <c r="Q14" s="8"/>
      <c r="S14" s="46"/>
    </row>
    <row r="15" spans="1:19" x14ac:dyDescent="0.2">
      <c r="A15" s="7" t="s">
        <v>0</v>
      </c>
      <c r="B15" s="19"/>
      <c r="C15" s="19"/>
      <c r="D15" s="19"/>
      <c r="E15" s="19"/>
      <c r="F15" s="54">
        <v>0.16</v>
      </c>
      <c r="G15" s="52">
        <v>0.22</v>
      </c>
      <c r="H15" s="52">
        <v>0.22</v>
      </c>
      <c r="I15" s="52">
        <v>0.22</v>
      </c>
      <c r="J15" s="52">
        <v>0.22</v>
      </c>
      <c r="K15" s="19"/>
      <c r="L15" s="19"/>
      <c r="M15" s="19"/>
      <c r="N15" s="12">
        <v>0</v>
      </c>
      <c r="O15" t="s">
        <v>27</v>
      </c>
      <c r="P15" s="19"/>
      <c r="Q15" s="8"/>
      <c r="R15" s="51"/>
    </row>
    <row r="16" spans="1:19" x14ac:dyDescent="0.2">
      <c r="A16" s="7" t="s">
        <v>20</v>
      </c>
      <c r="B16" s="19"/>
      <c r="C16" s="19"/>
      <c r="D16" s="19"/>
      <c r="E16" s="19"/>
      <c r="F16" s="27">
        <f>F15*F14</f>
        <v>6.4000000000000001E-2</v>
      </c>
      <c r="G16" s="49">
        <f>G15*G14</f>
        <v>3.3220000000000001</v>
      </c>
      <c r="H16" s="27">
        <f>H15*H14</f>
        <v>9.702</v>
      </c>
      <c r="I16" s="27">
        <f>I15*I14</f>
        <v>17.600000000000001</v>
      </c>
      <c r="J16" s="27">
        <f>J15*J14</f>
        <v>24.2</v>
      </c>
      <c r="K16" s="19"/>
      <c r="L16" s="19"/>
      <c r="M16" s="19"/>
      <c r="N16" s="24">
        <v>0.4</v>
      </c>
      <c r="O16" s="19" t="s">
        <v>4</v>
      </c>
      <c r="P16" s="19"/>
      <c r="Q16" s="8"/>
    </row>
    <row r="17" spans="1:17" x14ac:dyDescent="0.2">
      <c r="A17" s="7" t="s">
        <v>21</v>
      </c>
      <c r="B17" s="19"/>
      <c r="C17" s="19"/>
      <c r="D17" s="19"/>
      <c r="E17" s="19"/>
      <c r="F17" s="27">
        <f>IF(F16&lt;=0,F16,IF(+$N$14+F16&lt;=0,F16,F16-(F16+$N$14)*$N$16))</f>
        <v>6.4000000000000001E-2</v>
      </c>
      <c r="G17" s="50">
        <f>IF(G16&lt;=0,G16,IF(+$N$14+G16+F16&lt;=0,G16,G16-(G16+F16+$N$14)*$N$16))</f>
        <v>2.5676000000000001</v>
      </c>
      <c r="H17" s="50">
        <f>IF(H16&lt;=0,H16,IF(+$N$14+H16+G16+F16&lt;=0,H16,H16-(H16+G16+F16+$N$14)*$N$16))</f>
        <v>5.0667999999999997</v>
      </c>
      <c r="I17" s="50">
        <f>I16*(1-$N$16)</f>
        <v>10.56</v>
      </c>
      <c r="J17" s="50">
        <f>J16*(1-$N$16)</f>
        <v>14.52</v>
      </c>
      <c r="K17" s="19"/>
      <c r="L17" s="19"/>
      <c r="M17" s="19"/>
      <c r="N17" s="19"/>
      <c r="O17" s="19"/>
      <c r="P17" s="19"/>
      <c r="Q17" s="8"/>
    </row>
    <row r="18" spans="1:17" x14ac:dyDescent="0.2">
      <c r="A18" s="7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48">
        <f>-N13/F19</f>
        <v>-1</v>
      </c>
      <c r="O18" s="6" t="s">
        <v>5</v>
      </c>
      <c r="P18" s="19" t="s">
        <v>13</v>
      </c>
      <c r="Q18" s="8"/>
    </row>
    <row r="19" spans="1:17" x14ac:dyDescent="0.2">
      <c r="A19" s="7" t="s">
        <v>22</v>
      </c>
      <c r="B19" s="19"/>
      <c r="C19" s="19"/>
      <c r="D19" s="19"/>
      <c r="E19" s="19"/>
      <c r="F19" s="21">
        <v>9.1</v>
      </c>
      <c r="G19" s="21">
        <v>9.1</v>
      </c>
      <c r="H19" s="21">
        <v>15</v>
      </c>
      <c r="I19" s="21">
        <v>15</v>
      </c>
      <c r="J19" s="21">
        <v>15</v>
      </c>
      <c r="K19" s="44"/>
      <c r="L19" s="19"/>
      <c r="M19" s="19"/>
      <c r="N19" s="26">
        <v>0</v>
      </c>
      <c r="O19" s="8"/>
      <c r="P19" s="19" t="s">
        <v>14</v>
      </c>
      <c r="Q19" s="8"/>
    </row>
    <row r="20" spans="1:17" x14ac:dyDescent="0.2">
      <c r="A20" s="7" t="s">
        <v>1</v>
      </c>
      <c r="B20" s="19"/>
      <c r="C20" s="19"/>
      <c r="D20" s="19"/>
      <c r="E20" s="19"/>
      <c r="F20" s="27">
        <f>F17/F19</f>
        <v>7.032967032967033E-3</v>
      </c>
      <c r="G20" s="27">
        <f>G17/G19</f>
        <v>0.2821538461538462</v>
      </c>
      <c r="H20" s="27">
        <f>H17/H19</f>
        <v>0.33778666666666662</v>
      </c>
      <c r="I20" s="27">
        <f>I17/I19</f>
        <v>0.70400000000000007</v>
      </c>
      <c r="J20" s="27">
        <f>J17/J19</f>
        <v>0.96799999999999997</v>
      </c>
      <c r="K20" s="19"/>
      <c r="L20" s="19"/>
      <c r="M20" s="19"/>
      <c r="N20" s="7">
        <v>0</v>
      </c>
      <c r="O20" s="8"/>
      <c r="P20" s="19"/>
      <c r="Q20" s="8"/>
    </row>
    <row r="21" spans="1:17" x14ac:dyDescent="0.2">
      <c r="A21" s="7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7">
        <v>0</v>
      </c>
      <c r="O21" s="8"/>
      <c r="P21" s="19"/>
      <c r="Q21" s="8"/>
    </row>
    <row r="22" spans="1:17" x14ac:dyDescent="0.2">
      <c r="A22" s="7" t="s">
        <v>2</v>
      </c>
      <c r="B22" s="19"/>
      <c r="C22" s="19"/>
      <c r="D22" s="19"/>
      <c r="E22" s="19"/>
      <c r="F22" s="19"/>
      <c r="G22" s="19"/>
      <c r="H22" s="21">
        <v>4</v>
      </c>
      <c r="I22" s="21">
        <v>4</v>
      </c>
      <c r="J22" s="21">
        <v>4</v>
      </c>
      <c r="K22" s="19"/>
      <c r="L22" s="19"/>
      <c r="M22" s="19"/>
      <c r="N22" s="9">
        <f>+J24+($N$15/100)*(J24-(-N18))</f>
        <v>29.333333333333332</v>
      </c>
      <c r="O22" s="10"/>
      <c r="P22" s="19"/>
      <c r="Q22" s="8"/>
    </row>
    <row r="23" spans="1:17" x14ac:dyDescent="0.2">
      <c r="A23" s="7" t="s">
        <v>23</v>
      </c>
      <c r="B23" s="19"/>
      <c r="C23" s="19"/>
      <c r="D23" s="19"/>
      <c r="E23" s="19"/>
      <c r="F23" s="19"/>
      <c r="G23" s="19"/>
      <c r="H23" s="28">
        <f>H22*H14</f>
        <v>176.4</v>
      </c>
      <c r="I23" s="28">
        <f>I22*I14</f>
        <v>320</v>
      </c>
      <c r="J23" s="39">
        <f>J22*J14</f>
        <v>440</v>
      </c>
      <c r="K23" s="19"/>
      <c r="L23" s="19"/>
      <c r="M23" s="19"/>
      <c r="N23" s="19"/>
      <c r="O23" s="19"/>
      <c r="P23" s="19"/>
      <c r="Q23" s="8"/>
    </row>
    <row r="24" spans="1:17" x14ac:dyDescent="0.2">
      <c r="A24" s="7" t="s">
        <v>24</v>
      </c>
      <c r="B24" s="19"/>
      <c r="C24" s="19"/>
      <c r="D24" s="19"/>
      <c r="E24" s="19"/>
      <c r="F24" s="19"/>
      <c r="G24" s="19"/>
      <c r="H24" s="23">
        <f>H23/H19</f>
        <v>11.76</v>
      </c>
      <c r="I24" s="23">
        <f>I23/I19</f>
        <v>21.333333333333332</v>
      </c>
      <c r="J24" s="23">
        <f>J23/J19</f>
        <v>29.333333333333332</v>
      </c>
      <c r="K24" s="19"/>
      <c r="L24" s="19"/>
      <c r="M24" s="19"/>
      <c r="N24" s="14">
        <f>-G14</f>
        <v>-15.1</v>
      </c>
      <c r="O24" s="29"/>
      <c r="P24" s="19" t="s">
        <v>17</v>
      </c>
      <c r="Q24" s="8"/>
    </row>
    <row r="25" spans="1:17" x14ac:dyDescent="0.2">
      <c r="A25" s="7"/>
      <c r="B25" s="19"/>
      <c r="C25" s="19"/>
      <c r="D25" s="19"/>
      <c r="E25" s="19"/>
      <c r="F25" s="19"/>
      <c r="G25" s="19"/>
      <c r="H25" s="23"/>
      <c r="I25" s="23"/>
      <c r="J25" s="23"/>
      <c r="K25" s="19"/>
      <c r="L25" s="19"/>
      <c r="M25" s="19"/>
      <c r="N25" s="30">
        <v>0</v>
      </c>
      <c r="O25" s="8"/>
      <c r="P25" s="19" t="s">
        <v>18</v>
      </c>
      <c r="Q25" s="8"/>
    </row>
    <row r="26" spans="1:17" x14ac:dyDescent="0.2">
      <c r="A26" s="7" t="s">
        <v>7</v>
      </c>
      <c r="B26" s="19"/>
      <c r="C26" s="19"/>
      <c r="D26" s="19"/>
      <c r="E26" s="19"/>
      <c r="F26" s="19"/>
      <c r="G26" s="19"/>
      <c r="H26" s="23">
        <f>H24/H20</f>
        <v>34.814873292808088</v>
      </c>
      <c r="I26" s="23">
        <f>I24/I20</f>
        <v>30.303030303030297</v>
      </c>
      <c r="J26" s="23">
        <f>J24/J20</f>
        <v>30.303030303030301</v>
      </c>
      <c r="K26" s="19"/>
      <c r="L26" s="19"/>
      <c r="M26" s="19"/>
      <c r="N26" s="7">
        <v>0</v>
      </c>
      <c r="O26" s="8"/>
      <c r="P26" s="19"/>
      <c r="Q26" s="8"/>
    </row>
    <row r="27" spans="1:17" x14ac:dyDescent="0.2">
      <c r="A27" s="7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9">
        <f>J14</f>
        <v>110</v>
      </c>
      <c r="O27" s="10"/>
      <c r="P27" s="31">
        <f>IRR(N24:N27,0.5)</f>
        <v>0.93852726040259959</v>
      </c>
      <c r="Q27" s="8"/>
    </row>
    <row r="28" spans="1:17" x14ac:dyDescent="0.2">
      <c r="A28" s="7" t="s">
        <v>9</v>
      </c>
      <c r="B28" s="32" t="s">
        <v>10</v>
      </c>
      <c r="C28" s="33">
        <f>-$N$18</f>
        <v>1</v>
      </c>
      <c r="D28" s="34" t="s">
        <v>11</v>
      </c>
      <c r="E28" s="35" t="s">
        <v>12</v>
      </c>
      <c r="F28" s="19"/>
      <c r="G28" s="19"/>
      <c r="H28" s="23">
        <f>-H24/$N$18</f>
        <v>11.76</v>
      </c>
      <c r="I28" s="23">
        <f>-I24/$N$18</f>
        <v>21.333333333333332</v>
      </c>
      <c r="J28" s="40">
        <f>-N22/$N$18</f>
        <v>29.333333333333332</v>
      </c>
      <c r="K28" s="19"/>
      <c r="L28" s="19"/>
      <c r="M28" s="19"/>
      <c r="Q28" s="8"/>
    </row>
    <row r="29" spans="1:17" x14ac:dyDescent="0.2">
      <c r="A29" s="7" t="s">
        <v>3</v>
      </c>
      <c r="B29" s="19"/>
      <c r="C29" s="19"/>
      <c r="D29" s="19"/>
      <c r="E29" s="19"/>
      <c r="F29" s="19"/>
      <c r="G29" s="19"/>
      <c r="H29" s="23"/>
      <c r="I29" s="19"/>
      <c r="J29" s="36">
        <f>IRR(N18:N22,0.1)</f>
        <v>1.3272356139831301</v>
      </c>
      <c r="K29" s="19"/>
      <c r="L29" s="19"/>
      <c r="M29" s="19"/>
      <c r="N29" s="15">
        <f>(J14-I14)/I14</f>
        <v>0.375</v>
      </c>
      <c r="O29" s="1" t="s">
        <v>26</v>
      </c>
      <c r="P29" s="2"/>
      <c r="Q29" s="3"/>
    </row>
    <row r="30" spans="1:17" x14ac:dyDescent="0.2">
      <c r="A30" s="11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10"/>
    </row>
    <row r="31" spans="1:17" ht="14.25" x14ac:dyDescent="0.2">
      <c r="A31" s="4" t="s">
        <v>34</v>
      </c>
      <c r="B31" s="5"/>
      <c r="C31" s="5"/>
      <c r="D31" s="2"/>
      <c r="E31" s="3"/>
      <c r="F31" s="18"/>
      <c r="G31" s="18"/>
      <c r="H31" s="18"/>
      <c r="I31" s="18"/>
      <c r="J31" s="18"/>
      <c r="K31" s="18"/>
      <c r="L31" s="18"/>
      <c r="M31" s="13">
        <v>0.75</v>
      </c>
      <c r="N31" s="13">
        <v>0.75</v>
      </c>
      <c r="O31" s="13">
        <v>0.75</v>
      </c>
      <c r="P31" s="13">
        <v>0.75</v>
      </c>
      <c r="Q31" s="13">
        <v>0.75</v>
      </c>
    </row>
    <row r="32" spans="1:17" x14ac:dyDescent="0.2">
      <c r="A32" s="7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" t="s">
        <v>15</v>
      </c>
      <c r="N32" s="2"/>
      <c r="O32" s="2"/>
      <c r="P32" s="2"/>
      <c r="Q32" s="3"/>
    </row>
    <row r="33" spans="1:17" x14ac:dyDescent="0.2">
      <c r="A33" s="7" t="s">
        <v>19</v>
      </c>
      <c r="B33" s="19"/>
      <c r="C33" s="19"/>
      <c r="D33" s="19"/>
      <c r="E33" s="19"/>
      <c r="F33" s="27">
        <f>M31*F$14</f>
        <v>0.30000000000000004</v>
      </c>
      <c r="G33" s="23">
        <f>N31*G$14</f>
        <v>11.324999999999999</v>
      </c>
      <c r="H33" s="28">
        <f>O31*H$14</f>
        <v>33.075000000000003</v>
      </c>
      <c r="I33" s="28">
        <f>P31*I$14</f>
        <v>60</v>
      </c>
      <c r="J33" s="28">
        <f>Q31*J$14</f>
        <v>82.5</v>
      </c>
      <c r="K33" s="19"/>
      <c r="L33" s="19"/>
      <c r="M33" s="19"/>
      <c r="N33" s="19"/>
      <c r="O33" s="19"/>
      <c r="P33" s="19"/>
      <c r="Q33" s="8"/>
    </row>
    <row r="34" spans="1:17" x14ac:dyDescent="0.2">
      <c r="A34" s="7" t="s">
        <v>0</v>
      </c>
      <c r="B34" s="19"/>
      <c r="C34" s="19"/>
      <c r="D34" s="19"/>
      <c r="E34" s="19"/>
      <c r="F34" s="43">
        <f>F15</f>
        <v>0.16</v>
      </c>
      <c r="G34" s="43">
        <v>0.2</v>
      </c>
      <c r="H34" s="43">
        <v>0.2</v>
      </c>
      <c r="I34" s="43">
        <v>0.2</v>
      </c>
      <c r="J34" s="43">
        <v>0.2</v>
      </c>
      <c r="K34" s="19"/>
      <c r="L34" s="19"/>
      <c r="M34" s="19"/>
      <c r="N34" s="19"/>
      <c r="O34" s="19"/>
      <c r="P34" s="19"/>
      <c r="Q34" s="8"/>
    </row>
    <row r="35" spans="1:17" x14ac:dyDescent="0.2">
      <c r="A35" s="7" t="s">
        <v>20</v>
      </c>
      <c r="B35" s="19"/>
      <c r="C35" s="19"/>
      <c r="D35" s="19"/>
      <c r="E35" s="19"/>
      <c r="F35" s="27">
        <f>F34*F33</f>
        <v>4.8000000000000008E-2</v>
      </c>
      <c r="G35" s="23">
        <f>G34*G33</f>
        <v>2.2650000000000001</v>
      </c>
      <c r="H35" s="23">
        <f>H34*H33</f>
        <v>6.6150000000000011</v>
      </c>
      <c r="I35" s="23">
        <f>I34*I33</f>
        <v>12</v>
      </c>
      <c r="J35" s="23">
        <f>J34*J33</f>
        <v>16.5</v>
      </c>
      <c r="K35" s="19"/>
      <c r="L35" s="19"/>
      <c r="M35" s="19"/>
      <c r="N35" s="19"/>
      <c r="O35" s="19"/>
      <c r="P35" s="19"/>
      <c r="Q35" s="8"/>
    </row>
    <row r="36" spans="1:17" x14ac:dyDescent="0.2">
      <c r="A36" s="7" t="s">
        <v>21</v>
      </c>
      <c r="B36" s="19"/>
      <c r="C36" s="19"/>
      <c r="D36" s="19"/>
      <c r="E36" s="19"/>
      <c r="F36" s="27">
        <f>IF(F35&lt;=0,F35,IF(+$N$14+F35&lt;=0,F35,F35-(F35+$N$14)*$N$16))</f>
        <v>4.8000000000000008E-2</v>
      </c>
      <c r="G36" s="23">
        <f>IF(G35&lt;=0,G35,IF(+$N$14+G35+F35&lt;=0,G35,G35-(G35+F35+$N$14)*$N$16))</f>
        <v>1.9398</v>
      </c>
      <c r="H36" s="23">
        <f>IF(H35&lt;=0,H35,IF(+$N$14+H35+G35+F35&lt;=0,H35,H35-(H35+G35+F35+$N$14)*$N$16))</f>
        <v>3.6438000000000006</v>
      </c>
      <c r="I36" s="23">
        <f>I35*(1-$N$16)</f>
        <v>7.1999999999999993</v>
      </c>
      <c r="J36" s="23">
        <f>J35*(1-$N$16)</f>
        <v>9.9</v>
      </c>
      <c r="K36" s="19"/>
      <c r="L36" s="19"/>
      <c r="M36" s="19"/>
      <c r="N36" s="19"/>
      <c r="O36" s="19"/>
      <c r="P36" s="19"/>
      <c r="Q36" s="8"/>
    </row>
    <row r="37" spans="1:17" x14ac:dyDescent="0.2">
      <c r="A37" s="7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41">
        <f>+N$18</f>
        <v>-1</v>
      </c>
      <c r="O37" s="6"/>
      <c r="P37" s="19" t="s">
        <v>13</v>
      </c>
      <c r="Q37" s="8"/>
    </row>
    <row r="38" spans="1:17" x14ac:dyDescent="0.2">
      <c r="A38" s="7" t="s">
        <v>22</v>
      </c>
      <c r="B38" s="19"/>
      <c r="C38" s="19"/>
      <c r="D38" s="19"/>
      <c r="E38" s="19"/>
      <c r="F38" s="21">
        <f>F19</f>
        <v>9.1</v>
      </c>
      <c r="G38" s="21">
        <f>G19</f>
        <v>9.1</v>
      </c>
      <c r="H38" s="21">
        <f>H19</f>
        <v>15</v>
      </c>
      <c r="I38" s="21">
        <f>I19</f>
        <v>15</v>
      </c>
      <c r="J38" s="21">
        <f>J19</f>
        <v>15</v>
      </c>
      <c r="K38" s="19"/>
      <c r="L38" s="19"/>
      <c r="M38" s="19"/>
      <c r="N38" s="7">
        <v>0</v>
      </c>
      <c r="O38" s="8"/>
      <c r="P38" s="19" t="s">
        <v>14</v>
      </c>
      <c r="Q38" s="8"/>
    </row>
    <row r="39" spans="1:17" x14ac:dyDescent="0.2">
      <c r="A39" s="7" t="s">
        <v>1</v>
      </c>
      <c r="B39" s="19"/>
      <c r="C39" s="19"/>
      <c r="D39" s="19"/>
      <c r="E39" s="19"/>
      <c r="F39" s="27">
        <f>F36/F38</f>
        <v>5.2747252747252756E-3</v>
      </c>
      <c r="G39" s="27">
        <f>G36/G38</f>
        <v>0.21316483516483517</v>
      </c>
      <c r="H39" s="27">
        <f>H36/H38</f>
        <v>0.24292000000000005</v>
      </c>
      <c r="I39" s="27">
        <f>I36/I38</f>
        <v>0.47999999999999993</v>
      </c>
      <c r="J39" s="27">
        <f>J36/J38</f>
        <v>0.66</v>
      </c>
      <c r="K39" s="19"/>
      <c r="L39" s="19"/>
      <c r="M39" s="19"/>
      <c r="N39" s="7">
        <v>0</v>
      </c>
      <c r="O39" s="8"/>
      <c r="P39" s="19"/>
      <c r="Q39" s="8"/>
    </row>
    <row r="40" spans="1:17" x14ac:dyDescent="0.2">
      <c r="A40" s="7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7">
        <v>0</v>
      </c>
      <c r="O40" s="8"/>
      <c r="P40" s="19"/>
      <c r="Q40" s="8"/>
    </row>
    <row r="41" spans="1:17" x14ac:dyDescent="0.2">
      <c r="A41" s="7" t="s">
        <v>2</v>
      </c>
      <c r="B41" s="19"/>
      <c r="C41" s="19"/>
      <c r="D41" s="19"/>
      <c r="E41" s="19"/>
      <c r="F41" s="19"/>
      <c r="G41" s="19"/>
      <c r="H41" s="21">
        <v>3</v>
      </c>
      <c r="I41" s="21">
        <v>3</v>
      </c>
      <c r="J41" s="21">
        <v>3</v>
      </c>
      <c r="K41" s="19"/>
      <c r="L41" s="19"/>
      <c r="M41" s="19"/>
      <c r="N41" s="9">
        <f>+J43+($N$15/100)*(J43-(-N37))</f>
        <v>16.5</v>
      </c>
      <c r="O41" s="10"/>
      <c r="P41" s="19"/>
      <c r="Q41" s="8"/>
    </row>
    <row r="42" spans="1:17" x14ac:dyDescent="0.2">
      <c r="A42" s="7" t="s">
        <v>23</v>
      </c>
      <c r="B42" s="19"/>
      <c r="C42" s="19"/>
      <c r="D42" s="19"/>
      <c r="E42" s="19"/>
      <c r="F42" s="19"/>
      <c r="G42" s="19"/>
      <c r="H42" s="28">
        <f>H41*H33</f>
        <v>99.225000000000009</v>
      </c>
      <c r="I42" s="28">
        <f>I41*I33</f>
        <v>180</v>
      </c>
      <c r="J42" s="39">
        <f>J41*J33</f>
        <v>247.5</v>
      </c>
      <c r="K42" s="19"/>
      <c r="L42" s="19"/>
      <c r="M42" s="19"/>
      <c r="N42" s="19"/>
      <c r="O42" s="19"/>
      <c r="P42" s="19"/>
      <c r="Q42" s="8"/>
    </row>
    <row r="43" spans="1:17" x14ac:dyDescent="0.2">
      <c r="A43" s="7" t="s">
        <v>24</v>
      </c>
      <c r="B43" s="19"/>
      <c r="C43" s="19"/>
      <c r="D43" s="19"/>
      <c r="E43" s="19"/>
      <c r="F43" s="19"/>
      <c r="G43" s="19"/>
      <c r="H43" s="23">
        <f>H42/H38</f>
        <v>6.6150000000000002</v>
      </c>
      <c r="I43" s="23">
        <f>I42/I38</f>
        <v>12</v>
      </c>
      <c r="J43" s="23">
        <f>J42/J38</f>
        <v>16.5</v>
      </c>
      <c r="K43" s="19"/>
      <c r="L43" s="19"/>
      <c r="M43" s="19"/>
      <c r="N43" s="14">
        <f>-G33</f>
        <v>-11.324999999999999</v>
      </c>
      <c r="O43" s="29"/>
      <c r="P43" s="19" t="s">
        <v>17</v>
      </c>
      <c r="Q43" s="8"/>
    </row>
    <row r="44" spans="1:17" x14ac:dyDescent="0.2">
      <c r="A44" s="7"/>
      <c r="B44" s="19"/>
      <c r="C44" s="19"/>
      <c r="D44" s="19"/>
      <c r="E44" s="19"/>
      <c r="F44" s="19"/>
      <c r="G44" s="19"/>
      <c r="H44" s="23"/>
      <c r="I44" s="23"/>
      <c r="J44" s="23"/>
      <c r="K44" s="19"/>
      <c r="L44" s="19"/>
      <c r="M44" s="19"/>
      <c r="N44" s="30">
        <v>0</v>
      </c>
      <c r="O44" s="8"/>
      <c r="P44" s="19" t="s">
        <v>18</v>
      </c>
      <c r="Q44" s="8"/>
    </row>
    <row r="45" spans="1:17" x14ac:dyDescent="0.2">
      <c r="A45" s="7" t="s">
        <v>7</v>
      </c>
      <c r="B45" s="19"/>
      <c r="C45" s="19"/>
      <c r="D45" s="19"/>
      <c r="E45" s="19"/>
      <c r="F45" s="19"/>
      <c r="G45" s="19"/>
      <c r="H45" s="23">
        <f>H43/H39</f>
        <v>27.231187222130739</v>
      </c>
      <c r="I45" s="23">
        <f>I43/I39</f>
        <v>25.000000000000004</v>
      </c>
      <c r="J45" s="23">
        <f>J43/J39</f>
        <v>25</v>
      </c>
      <c r="K45" s="19"/>
      <c r="L45" s="19"/>
      <c r="M45" s="19"/>
      <c r="N45" s="7">
        <v>0</v>
      </c>
      <c r="O45" s="8"/>
      <c r="P45" s="19"/>
      <c r="Q45" s="8"/>
    </row>
    <row r="46" spans="1:17" x14ac:dyDescent="0.2">
      <c r="A46" s="7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9">
        <f>J33</f>
        <v>82.5</v>
      </c>
      <c r="O46" s="10"/>
      <c r="P46" s="31">
        <f>IRR(N43:N46,0.5)</f>
        <v>0.93852726040260004</v>
      </c>
      <c r="Q46" s="8"/>
    </row>
    <row r="47" spans="1:17" x14ac:dyDescent="0.2">
      <c r="A47" s="7" t="s">
        <v>9</v>
      </c>
      <c r="B47" s="32" t="s">
        <v>10</v>
      </c>
      <c r="C47" s="33">
        <f>-$N$18</f>
        <v>1</v>
      </c>
      <c r="D47" s="34" t="s">
        <v>11</v>
      </c>
      <c r="E47" s="19" t="s">
        <v>12</v>
      </c>
      <c r="F47" s="19"/>
      <c r="G47" s="19"/>
      <c r="H47" s="23">
        <f>-H43/$N$18</f>
        <v>6.6150000000000002</v>
      </c>
      <c r="I47" s="23">
        <f>-I43/$N$18</f>
        <v>12</v>
      </c>
      <c r="J47" s="40">
        <f>-N41/$N$18</f>
        <v>16.5</v>
      </c>
      <c r="K47" s="19"/>
      <c r="L47" s="19"/>
      <c r="M47" s="19"/>
      <c r="Q47" s="8"/>
    </row>
    <row r="48" spans="1:17" x14ac:dyDescent="0.2">
      <c r="A48" s="7" t="s">
        <v>3</v>
      </c>
      <c r="B48" s="19"/>
      <c r="C48" s="19"/>
      <c r="D48" s="19"/>
      <c r="E48" s="19"/>
      <c r="F48" s="19"/>
      <c r="G48" s="19"/>
      <c r="H48" s="19"/>
      <c r="I48" s="19"/>
      <c r="J48" s="36">
        <f>IRR(N37:N41,0.1)</f>
        <v>1.015445162319724</v>
      </c>
      <c r="K48" s="19"/>
      <c r="L48" s="19"/>
      <c r="M48" s="19"/>
      <c r="N48" s="15">
        <f>(J33-I33)/I33</f>
        <v>0.375</v>
      </c>
      <c r="O48" s="1" t="s">
        <v>26</v>
      </c>
      <c r="P48" s="2"/>
      <c r="Q48" s="3"/>
    </row>
    <row r="49" spans="1:17" x14ac:dyDescent="0.2">
      <c r="A49" s="11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10"/>
    </row>
    <row r="50" spans="1:17" ht="14.25" x14ac:dyDescent="0.2">
      <c r="A50" s="4" t="s">
        <v>33</v>
      </c>
      <c r="B50" s="5"/>
      <c r="C50" s="5"/>
      <c r="D50" s="2"/>
      <c r="E50" s="3"/>
      <c r="F50" s="18"/>
      <c r="G50" s="18"/>
      <c r="H50" s="18"/>
      <c r="I50" s="18"/>
      <c r="J50" s="18"/>
      <c r="K50" s="18"/>
      <c r="L50" s="18"/>
      <c r="M50" s="13">
        <v>0.5</v>
      </c>
      <c r="N50" s="13">
        <v>0.5</v>
      </c>
      <c r="O50" s="13">
        <v>0.5</v>
      </c>
      <c r="P50" s="13">
        <v>0.5</v>
      </c>
      <c r="Q50" s="13">
        <v>0.5</v>
      </c>
    </row>
    <row r="51" spans="1:17" x14ac:dyDescent="0.2">
      <c r="A51" s="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" t="s">
        <v>16</v>
      </c>
      <c r="N51" s="2"/>
      <c r="O51" s="2"/>
      <c r="P51" s="2"/>
      <c r="Q51" s="3"/>
    </row>
    <row r="52" spans="1:17" x14ac:dyDescent="0.2">
      <c r="A52" s="7" t="s">
        <v>19</v>
      </c>
      <c r="B52" s="19"/>
      <c r="C52" s="19"/>
      <c r="D52" s="19"/>
      <c r="E52" s="19"/>
      <c r="F52" s="27">
        <f>M50*F$14</f>
        <v>0.2</v>
      </c>
      <c r="G52" s="23">
        <f>N50*G$14</f>
        <v>7.55</v>
      </c>
      <c r="H52" s="28">
        <f>O50*H$14</f>
        <v>22.05</v>
      </c>
      <c r="I52" s="28">
        <f>P50*I$14</f>
        <v>40</v>
      </c>
      <c r="J52" s="28">
        <f>Q50*J$14</f>
        <v>55</v>
      </c>
      <c r="K52" s="19"/>
      <c r="L52" s="19"/>
      <c r="M52" s="19"/>
      <c r="N52" s="19"/>
      <c r="O52" s="19"/>
      <c r="P52" s="19"/>
      <c r="Q52" s="8"/>
    </row>
    <row r="53" spans="1:17" x14ac:dyDescent="0.2">
      <c r="A53" s="7" t="s">
        <v>0</v>
      </c>
      <c r="B53" s="19"/>
      <c r="C53" s="19"/>
      <c r="D53" s="19"/>
      <c r="E53" s="19"/>
      <c r="F53" s="43">
        <f>F34</f>
        <v>0.16</v>
      </c>
      <c r="G53" s="43">
        <v>0.2</v>
      </c>
      <c r="H53" s="43">
        <v>0.2</v>
      </c>
      <c r="I53" s="43">
        <v>0.2</v>
      </c>
      <c r="J53" s="43">
        <v>0.2</v>
      </c>
      <c r="K53" s="19"/>
      <c r="L53" s="19"/>
      <c r="M53" s="19"/>
      <c r="N53" s="19"/>
      <c r="O53" s="19"/>
      <c r="P53" s="19"/>
      <c r="Q53" s="8"/>
    </row>
    <row r="54" spans="1:17" x14ac:dyDescent="0.2">
      <c r="A54" s="7" t="s">
        <v>20</v>
      </c>
      <c r="B54" s="19"/>
      <c r="C54" s="19"/>
      <c r="D54" s="19"/>
      <c r="E54" s="19"/>
      <c r="F54" s="27">
        <f>F53*F52</f>
        <v>3.2000000000000001E-2</v>
      </c>
      <c r="G54" s="23">
        <f>G53*G52</f>
        <v>1.51</v>
      </c>
      <c r="H54" s="23">
        <f>H53*H52</f>
        <v>4.41</v>
      </c>
      <c r="I54" s="23">
        <f>I53*I52</f>
        <v>8</v>
      </c>
      <c r="J54" s="23">
        <f>J53*J52</f>
        <v>11</v>
      </c>
      <c r="K54" s="19"/>
      <c r="L54" s="19"/>
      <c r="M54" s="19"/>
      <c r="N54" s="19"/>
      <c r="O54" s="19"/>
      <c r="P54" s="19"/>
      <c r="Q54" s="8"/>
    </row>
    <row r="55" spans="1:17" x14ac:dyDescent="0.2">
      <c r="A55" s="7" t="s">
        <v>21</v>
      </c>
      <c r="B55" s="19"/>
      <c r="C55" s="19"/>
      <c r="D55" s="19"/>
      <c r="E55" s="19"/>
      <c r="F55" s="27">
        <f>IF(F54&lt;=0,F54,F54*0.62)</f>
        <v>1.984E-2</v>
      </c>
      <c r="G55" s="23">
        <f>IF(G54&lt;=0,G54,IF(+$N$14+G54+F54&lt;=0,G54,G54-(G54+F54+$N$14)*$N$16))</f>
        <v>1.4932000000000001</v>
      </c>
      <c r="H55" s="23">
        <f>IF(H54&lt;=0,H54,IF(+$N$14+H54+G54+F54&lt;=0,H54,H54-(H54+G54+F54+$N$14)*$N$16))</f>
        <v>2.6292</v>
      </c>
      <c r="I55" s="23">
        <f>IF(I54&lt;=0,I54,IF(+$N$14+I54+H54+G54+F54&lt;=0,I54,I54-(I54+H54+G54+F54+$N$14)*$N$16))</f>
        <v>3.0191999999999997</v>
      </c>
      <c r="J55" s="23">
        <f>J54*(1-N$16)</f>
        <v>6.6</v>
      </c>
      <c r="K55" s="19"/>
      <c r="L55" s="19"/>
      <c r="M55" s="19"/>
      <c r="N55" s="19"/>
      <c r="O55" s="19"/>
      <c r="P55" s="19"/>
      <c r="Q55" s="8"/>
    </row>
    <row r="56" spans="1:17" x14ac:dyDescent="0.2">
      <c r="A56" s="7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41">
        <f>+N$18</f>
        <v>-1</v>
      </c>
      <c r="O56" s="6"/>
      <c r="P56" s="19" t="s">
        <v>13</v>
      </c>
      <c r="Q56" s="8"/>
    </row>
    <row r="57" spans="1:17" x14ac:dyDescent="0.2">
      <c r="A57" s="7" t="s">
        <v>22</v>
      </c>
      <c r="B57" s="19"/>
      <c r="C57" s="19"/>
      <c r="D57" s="19"/>
      <c r="E57" s="19"/>
      <c r="F57" s="21">
        <f>F38</f>
        <v>9.1</v>
      </c>
      <c r="G57" s="21">
        <f>G38</f>
        <v>9.1</v>
      </c>
      <c r="H57" s="21">
        <f>H38</f>
        <v>15</v>
      </c>
      <c r="I57" s="21">
        <f>I38</f>
        <v>15</v>
      </c>
      <c r="J57" s="21">
        <f>J38</f>
        <v>15</v>
      </c>
      <c r="K57" s="19"/>
      <c r="L57" s="19"/>
      <c r="M57" s="19"/>
      <c r="N57" s="7">
        <v>0</v>
      </c>
      <c r="O57" s="8"/>
      <c r="P57" s="19" t="s">
        <v>14</v>
      </c>
      <c r="Q57" s="8"/>
    </row>
    <row r="58" spans="1:17" x14ac:dyDescent="0.2">
      <c r="A58" s="7" t="s">
        <v>1</v>
      </c>
      <c r="B58" s="19"/>
      <c r="C58" s="19"/>
      <c r="D58" s="19"/>
      <c r="E58" s="19"/>
      <c r="F58" s="27">
        <f>F55/F57</f>
        <v>2.1802197802197804E-3</v>
      </c>
      <c r="G58" s="27">
        <f>G55/G57</f>
        <v>0.1640879120879121</v>
      </c>
      <c r="H58" s="27">
        <f>H55/H57</f>
        <v>0.17527999999999999</v>
      </c>
      <c r="I58" s="27">
        <f>I55/I57</f>
        <v>0.20127999999999999</v>
      </c>
      <c r="J58" s="27">
        <f>J55/J57</f>
        <v>0.44</v>
      </c>
      <c r="K58" s="19"/>
      <c r="L58" s="19"/>
      <c r="M58" s="19"/>
      <c r="N58" s="7">
        <v>0</v>
      </c>
      <c r="O58" s="8"/>
      <c r="P58" s="19"/>
      <c r="Q58" s="8"/>
    </row>
    <row r="59" spans="1:17" x14ac:dyDescent="0.2">
      <c r="A59" s="7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7">
        <v>0</v>
      </c>
      <c r="O59" s="8"/>
      <c r="P59" s="19"/>
      <c r="Q59" s="8"/>
    </row>
    <row r="60" spans="1:17" x14ac:dyDescent="0.2">
      <c r="A60" s="7" t="s">
        <v>2</v>
      </c>
      <c r="B60" s="19"/>
      <c r="C60" s="19"/>
      <c r="D60" s="19"/>
      <c r="E60" s="19"/>
      <c r="F60" s="19"/>
      <c r="G60" s="19"/>
      <c r="H60" s="25">
        <v>2</v>
      </c>
      <c r="I60" s="25">
        <v>2</v>
      </c>
      <c r="J60" s="25">
        <v>2</v>
      </c>
      <c r="K60" s="38"/>
      <c r="L60" s="19"/>
      <c r="M60" s="19"/>
      <c r="N60" s="9">
        <f>+J62+($N$15/100)*(J62-(-N56))</f>
        <v>7.333333333333333</v>
      </c>
      <c r="O60" s="10"/>
      <c r="P60" s="19"/>
      <c r="Q60" s="8"/>
    </row>
    <row r="61" spans="1:17" x14ac:dyDescent="0.2">
      <c r="A61" s="7" t="s">
        <v>23</v>
      </c>
      <c r="B61" s="19"/>
      <c r="C61" s="19"/>
      <c r="D61" s="19"/>
      <c r="E61" s="19"/>
      <c r="F61" s="19"/>
      <c r="G61" s="19"/>
      <c r="H61" s="28">
        <f>H60*H52</f>
        <v>44.1</v>
      </c>
      <c r="I61" s="28">
        <f>I60*I52</f>
        <v>80</v>
      </c>
      <c r="J61" s="39">
        <f>J60*J52</f>
        <v>110</v>
      </c>
      <c r="K61" s="19"/>
      <c r="L61" s="19"/>
      <c r="M61" s="19"/>
      <c r="N61" s="19"/>
      <c r="O61" s="19"/>
      <c r="P61" s="19"/>
      <c r="Q61" s="8"/>
    </row>
    <row r="62" spans="1:17" ht="12.75" customHeight="1" x14ac:dyDescent="0.2">
      <c r="A62" s="7" t="s">
        <v>24</v>
      </c>
      <c r="B62" s="19"/>
      <c r="C62" s="19"/>
      <c r="D62" s="19"/>
      <c r="E62" s="19"/>
      <c r="F62" s="19"/>
      <c r="G62" s="19"/>
      <c r="H62" s="23">
        <f>H61/H57</f>
        <v>2.94</v>
      </c>
      <c r="I62" s="23">
        <f>I61/I57</f>
        <v>5.333333333333333</v>
      </c>
      <c r="J62" s="23">
        <f>J61/J57</f>
        <v>7.333333333333333</v>
      </c>
      <c r="K62" s="19"/>
      <c r="L62" s="19"/>
      <c r="M62" s="19"/>
      <c r="N62" s="14">
        <f>-G52</f>
        <v>-7.55</v>
      </c>
      <c r="O62" s="29"/>
      <c r="P62" s="19" t="s">
        <v>17</v>
      </c>
      <c r="Q62" s="8"/>
    </row>
    <row r="63" spans="1:17" ht="12.75" customHeight="1" x14ac:dyDescent="0.2">
      <c r="A63" s="7"/>
      <c r="B63" s="19"/>
      <c r="C63" s="19"/>
      <c r="D63" s="19"/>
      <c r="E63" s="19"/>
      <c r="F63" s="19"/>
      <c r="G63" s="19"/>
      <c r="H63" s="23"/>
      <c r="I63" s="23"/>
      <c r="J63" s="23"/>
      <c r="K63" s="19"/>
      <c r="L63" s="19"/>
      <c r="M63" s="19"/>
      <c r="N63" s="30">
        <v>0</v>
      </c>
      <c r="O63" s="8"/>
      <c r="P63" s="19" t="s">
        <v>18</v>
      </c>
      <c r="Q63" s="8"/>
    </row>
    <row r="64" spans="1:17" ht="12.75" customHeight="1" x14ac:dyDescent="0.2">
      <c r="A64" s="7" t="s">
        <v>7</v>
      </c>
      <c r="B64" s="19"/>
      <c r="C64" s="19"/>
      <c r="D64" s="19"/>
      <c r="E64" s="19"/>
      <c r="F64" s="19"/>
      <c r="G64" s="19"/>
      <c r="H64" s="23">
        <f>H62/H58</f>
        <v>16.773162939297126</v>
      </c>
      <c r="I64" s="23">
        <f>I62/I58</f>
        <v>26.497085320614733</v>
      </c>
      <c r="J64" s="23">
        <f>J62/J58</f>
        <v>16.666666666666664</v>
      </c>
      <c r="K64" s="19"/>
      <c r="L64" s="19"/>
      <c r="M64" s="19"/>
      <c r="N64" s="7">
        <v>0</v>
      </c>
      <c r="O64" s="8"/>
      <c r="P64" s="19"/>
      <c r="Q64" s="8"/>
    </row>
    <row r="65" spans="1:17" x14ac:dyDescent="0.2">
      <c r="A65" s="7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9">
        <f>J52</f>
        <v>55</v>
      </c>
      <c r="O65" s="10"/>
      <c r="P65" s="31">
        <f>IRR(N62:N65,0.5)</f>
        <v>0.93852726040259959</v>
      </c>
      <c r="Q65" s="8"/>
    </row>
    <row r="66" spans="1:17" x14ac:dyDescent="0.2">
      <c r="A66" s="7" t="s">
        <v>9</v>
      </c>
      <c r="B66" s="32" t="s">
        <v>10</v>
      </c>
      <c r="C66" s="33">
        <f>-$N$18</f>
        <v>1</v>
      </c>
      <c r="D66" s="34" t="s">
        <v>11</v>
      </c>
      <c r="E66" s="19" t="s">
        <v>12</v>
      </c>
      <c r="F66" s="19"/>
      <c r="G66" s="19"/>
      <c r="H66" s="23">
        <f>-H62/$N$18</f>
        <v>2.94</v>
      </c>
      <c r="I66" s="23">
        <f>-I62/$N$18</f>
        <v>5.333333333333333</v>
      </c>
      <c r="J66" s="40">
        <f>-N60/$N$18</f>
        <v>7.333333333333333</v>
      </c>
      <c r="K66" s="19"/>
      <c r="L66" s="19"/>
      <c r="M66" s="19"/>
      <c r="Q66" s="8"/>
    </row>
    <row r="67" spans="1:17" x14ac:dyDescent="0.2">
      <c r="A67" s="7" t="s">
        <v>3</v>
      </c>
      <c r="B67" s="19"/>
      <c r="C67" s="19"/>
      <c r="D67" s="19"/>
      <c r="E67" s="19"/>
      <c r="F67" s="19"/>
      <c r="G67" s="19"/>
      <c r="H67" s="19"/>
      <c r="I67" s="19"/>
      <c r="J67" s="36">
        <f>IRR(N56:N60,0.1)</f>
        <v>0.64560408408138081</v>
      </c>
      <c r="K67" s="19"/>
      <c r="L67" s="19"/>
      <c r="M67" s="19"/>
      <c r="N67" s="15">
        <f>(J52-I52)/I52</f>
        <v>0.375</v>
      </c>
      <c r="O67" s="1" t="s">
        <v>26</v>
      </c>
      <c r="P67" s="2"/>
      <c r="Q67" s="3"/>
    </row>
    <row r="68" spans="1:17" x14ac:dyDescent="0.2">
      <c r="A68" s="7"/>
      <c r="B68" s="19"/>
      <c r="C68" s="19"/>
      <c r="D68" s="19"/>
      <c r="E68" s="19"/>
      <c r="F68" s="19"/>
      <c r="G68" s="19"/>
      <c r="H68" s="19"/>
      <c r="I68" s="19"/>
      <c r="J68" s="36"/>
      <c r="K68" s="19"/>
      <c r="L68" s="19"/>
      <c r="M68" s="19"/>
      <c r="N68" s="55"/>
      <c r="O68" s="37"/>
      <c r="P68" s="37"/>
      <c r="Q68" s="10"/>
    </row>
    <row r="69" spans="1:17" x14ac:dyDescent="0.2">
      <c r="A69" s="57"/>
      <c r="B69" s="19"/>
      <c r="C69" s="19"/>
      <c r="D69" s="19"/>
      <c r="E69" s="19"/>
      <c r="F69" s="19"/>
      <c r="G69" s="19"/>
      <c r="H69" s="19"/>
      <c r="I69" s="19"/>
      <c r="J69" s="36"/>
      <c r="K69" s="19"/>
      <c r="L69" s="19"/>
      <c r="M69" s="19"/>
      <c r="N69" s="36"/>
      <c r="O69" s="19"/>
      <c r="P69" s="19"/>
      <c r="Q69" s="8"/>
    </row>
    <row r="70" spans="1:17" x14ac:dyDescent="0.2">
      <c r="H70" s="56"/>
    </row>
  </sheetData>
  <mergeCells count="3">
    <mergeCell ref="F11:J11"/>
    <mergeCell ref="A7:Q7"/>
    <mergeCell ref="A8:Q8"/>
  </mergeCells>
  <phoneticPr fontId="0" type="noConversion"/>
  <printOptions horizontalCentered="1"/>
  <pageMargins left="0.38" right="0.38" top="0.2" bottom="1" header="0.5" footer="0.5"/>
  <pageSetup scale="78" orientation="portrait" r:id="rId1"/>
  <headerFooter alignWithMargins="0">
    <oddFooter>&amp;CSmartTribes Playbook, Leadership - Attachment A - Valuation Calculation Financials
©2011-2015 SmartTribes® Institute, LLC www.SmartTribesInstitute.com&amp;R&amp;9Page &amp;P</oddFooter>
  </headerFooter>
  <rowBreaks count="1" manualBreakCount="1">
    <brk id="68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XYZ Company</vt:lpstr>
      <vt:lpstr>'XYZ Company'!Print_Area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Client Resource_ValuationCalculation-Financials</dc:title>
  <dc:creator>Christine Comaford-Lynch</dc:creator>
  <cp:lastModifiedBy>Records</cp:lastModifiedBy>
  <cp:lastPrinted>2015-02-12T17:53:15Z</cp:lastPrinted>
  <dcterms:created xsi:type="dcterms:W3CDTF">2001-04-11T23:45:37Z</dcterms:created>
  <dcterms:modified xsi:type="dcterms:W3CDTF">2015-02-12T17:53:42Z</dcterms:modified>
</cp:coreProperties>
</file>